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PMR OBJETIVOS 2017" sheetId="1" r:id="rId1"/>
    <sheet name="PMR 2017" sheetId="2" r:id="rId2"/>
    <sheet name="Armonizacion" sheetId="3" r:id="rId3"/>
  </sheets>
  <definedNames>
    <definedName name="_xlnm.Print_Area" localSheetId="1">'PMR 2017'!$A$1:$E$18</definedName>
    <definedName name="_xlnm.Print_Area" localSheetId="0">'PMR OBJETIVOS 2017'!$A$1:$E$27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<sst xmlns="http://schemas.openxmlformats.org/spreadsheetml/2006/main" count="136" uniqueCount="95">
  <si>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</si>
  <si>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</si>
  <si>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</si>
  <si>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</si>
  <si>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</si>
  <si>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</si>
  <si>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</si>
  <si>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</si>
  <si>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</si>
  <si>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</si>
  <si>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</si>
  <si>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</si>
  <si>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</si>
  <si>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</si>
  <si>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</si>
  <si>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</si>
  <si>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</si>
  <si>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</si>
  <si>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</si>
  <si>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</si>
  <si>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</si>
  <si>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</si>
  <si>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</si>
  <si>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</si>
  <si>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</si>
  <si>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</si>
  <si>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</si>
  <si>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</si>
  <si>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</si>
  <si>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</si>
  <si>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</si>
  <si>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</si>
  <si>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</si>
  <si>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</si>
  <si>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</si>
  <si>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</si>
  <si>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</si>
  <si>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</si>
  <si>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</si>
  <si>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 xml:space="preserve">Aprobó: Biviana Duque Toro    - Director Técnico de Planeación </t>
  </si>
  <si>
    <t>Seguimiento con corte a marzo de 2016:  A la fecha se han realizado 40 actividades  que incluyen  mecanismos de control social e instrumentos de interacción a la gestión pública.</t>
  </si>
  <si>
    <t>*Seguimiento a marzo de 2016:  Con memorando Nº 3-2016-04715, proceso Nº 739409 de 25/02/2016 se remitió a la Dirección Administrativa el ajuste de necesidades de contratación 2016 del proyecto Nº 770 a través del cual se ejecutan actividades del Plan de Acción relacionadas con la percepción del cliente (Ciudadanía y Concejo), resultados que se entregan una vez vencida la vigencia 2016.</t>
  </si>
  <si>
    <t>bogota humana</t>
  </si>
  <si>
    <t xml:space="preserve">mejor par todos </t>
  </si>
  <si>
    <t>valor inversion proyecto 776. corresponde 87,5 a informes y 12,5 Rf</t>
  </si>
  <si>
    <t>1199-1194-1196</t>
  </si>
  <si>
    <t>Proyectos de Inversión</t>
  </si>
  <si>
    <t>TOTAL</t>
  </si>
  <si>
    <t xml:space="preserve">No. 1199 - Fortalecimiento del Control Social a la Gestión Pública. </t>
  </si>
  <si>
    <t>No. 1195 - Fortalecimiento del Sistema Integrado de Gestión y de la Capacidad Institucional.</t>
  </si>
  <si>
    <t>729,295,344</t>
  </si>
  <si>
    <t>No. 1196 - Fortalecimiento al Mejoramiento de la Infraestructura Física y Dotación.</t>
  </si>
  <si>
    <t>No. 1194 - Fortalecimiento de  la Infraestructura de Tecnologías de la Información y las Comunicaciones.</t>
  </si>
  <si>
    <t xml:space="preserve">proyecto </t>
  </si>
  <si>
    <t xml:space="preserve">valor </t>
  </si>
  <si>
    <t>informes %</t>
  </si>
  <si>
    <t>responsabilidad</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</si>
  <si>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</si>
  <si>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</si>
  <si>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</si>
  <si>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</si>
  <si>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PRESUPUESTO POR PRODUCTOS VIGENCIA 2017</t>
  </si>
  <si>
    <t>OBJETIVOS - PRODUCTOS E  INDICADORES  DE 2017</t>
  </si>
  <si>
    <t>Procesos auditor</t>
  </si>
  <si>
    <t>Cobro Coactivo</t>
  </si>
  <si>
    <t>Cobro Persuasivo</t>
  </si>
  <si>
    <t>Presupuesto</t>
  </si>
  <si>
    <t>Total Beneficios</t>
  </si>
  <si>
    <t>Ejecución Inversion - GIROS  Marzo 2017</t>
  </si>
  <si>
    <t>Ejecución Reservas Inversion - GIROS  Marzo 2017</t>
  </si>
  <si>
    <t>Revisó y Aprobó : Biviana Duque Toro - Directora Técnica de Planeación.</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</si>
  <si>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(1.743/2.294).</t>
    </r>
  </si>
  <si>
    <t>Ejecución Reservas Inversion - GIROS  Abril 2017</t>
  </si>
  <si>
    <t>Ejecución Inversion - GIROS  Abril 2017</t>
  </si>
  <si>
    <t>inversion JUNIO</t>
  </si>
  <si>
    <t>GIROS ACUMULADOS A JUNIO  DE 2017</t>
  </si>
  <si>
    <t>Fuente: PREDIS - Reporte de Ejecución Presupuestal a 30 de Junio  de 2017.</t>
  </si>
  <si>
    <t xml:space="preserve">Elaboró:   - Claudia Pedraza Aladana . Fecha: Julio 10   de 2017     </t>
  </si>
  <si>
    <r>
      <t>PORCENTAJE DE ENTIDADES DISTRITALES AUDITADAS DURANTE EL PERIODO</t>
    </r>
    <r>
      <rPr>
        <sz val="9"/>
        <rFont val="Arial"/>
        <family val="2"/>
      </rPr>
      <t xml:space="preserve">
No. De sujetos de control auditados en la vigencia / Total de sujetos de control competencia de la Contraloria de Bogotá *100 (56/95)</t>
    </r>
  </si>
  <si>
    <t xml:space="preserve">PAD 2016 VERSION 7,0 según datos de trazabilidad
49 contando las subredes de salud como únicos sujeto de control (4) y 
PAD 2017 VERSIÓN 3,0 según trazabilidad siete (7) sin contar los sujetos que fueron auditados en enero de 2017 correspondientes al PAD 2016
Para un total de 56 sujetos de control auditados en lo corrido de enero a junio 30 de 2017  </t>
  </si>
  <si>
    <t>95 Según R:R. 019 de 2017</t>
  </si>
  <si>
    <r>
      <t>INFORMES DE AUDITORIA REALIZADOS DURANTE EL PERIODO</t>
    </r>
    <r>
      <rPr>
        <sz val="9"/>
        <rFont val="Arial"/>
        <family val="2"/>
      </rPr>
      <t xml:space="preserve">
Total Informes de Auditoria realizados (98/214)</t>
    </r>
  </si>
  <si>
    <t>60 INFORMES PAD 2016
38 INFORMES PAD 2017
TOTAL 98 INFORMES DE AUDITORIA</t>
  </si>
  <si>
    <t>214 De acuerdo PAD VERSION 3,0 JUNIO 16 DE 2017</t>
  </si>
  <si>
    <t xml:space="preserve"> Efectividad del recaudo efectuado en Procesos de Jurisdicción Coactiva </t>
  </si>
  <si>
    <t xml:space="preserve">mediante memorando 3-2017-13020 responsabilidad fiscal y jurisdiccion coactiva presenta modificacion del indicador  a 13.500.000.000. y fue aprobada por el contralor auxiliar con numero 3-2017-15059. Con el fin de ser coherente la medicion de este indicador de este indicador con lo establecido en el plan de accion del proceso se ajusta en los terminos determinados en dicho plan.
</t>
  </si>
  <si>
    <r>
      <t>MONTO DE DINERO SUCEPTIBLE DE RECAUDO POR PROCESOS DE RESPONSABILIDAD FISCAL POR VIGENCIA FISCAL</t>
    </r>
    <r>
      <rPr>
        <sz val="9"/>
        <rFont val="Arial"/>
        <family val="2"/>
      </rPr>
      <t xml:space="preserve">
Valor de la Cuantía
Recaudada en la Vigencia  / Valor a recaudar programado (meta anual)
</t>
    </r>
    <r>
      <rPr>
        <b/>
        <sz val="9"/>
        <rFont val="Arial"/>
        <family val="2"/>
      </rPr>
      <t>(13.628.776.539/13.500.000.000).</t>
    </r>
    <r>
      <rPr>
        <sz val="9"/>
        <rFont val="Arial"/>
        <family val="2"/>
      </rPr>
      <t xml:space="preserve">
</t>
    </r>
  </si>
  <si>
    <t>13,500,000,000</t>
  </si>
  <si>
    <t xml:space="preserve">Seguimiento a junio: A la fecha, de acuerdo con los reportes de las Oficinas de Localidad, se han desarrollado 313 actividades de control social asi: Inspección a terreno 105, Comités de Control Social 62, Mesas de Trabajo ciudadana 53, Contraloría Estudiantil 32, Audiencias Públicas 19, Auditoría Social 14, Rendición de cuentas 13, Divulgación de resultados de gestión del proceso auditor y de los informes obligatorios, estudios y/o pronunciamientos 6, Socialización de los Memorandos de Asignación y de Planeación 4, Veedurías ciudadanas 3, Revisión de contratos 1 y Redes sociales 1. </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</si>
  <si>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(313/190)</t>
    </r>
  </si>
  <si>
    <t>Seguimiento a junio de 2017: Se mantiene y ratifica la información reportada con corte a mayo.</t>
  </si>
  <si>
    <t xml:space="preserve">Elaboró:- Claudia Pedraza Aldana  -  Dirección Técnica de Planeación </t>
  </si>
  <si>
    <t>Fecha de Elaboración: Julio 10 de 2017</t>
  </si>
  <si>
    <t xml:space="preserve">ALCANZADO A JUNIO </t>
  </si>
  <si>
    <r>
      <t xml:space="preserve">TASA DE RETORNO
</t>
    </r>
    <r>
      <rPr>
        <sz val="9"/>
        <rFont val="Arial"/>
        <family val="2"/>
      </rPr>
      <t xml:space="preserve">Valor de los beneficios / total presupuesto ejecutado por la Contraloria de Bogotá, D.C. en el periodo analizado.
(94,152,466,559/60,576,441,340)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</si>
</sst>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80">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sz val="11"/>
      <color indexed="8"/>
      <name val="Arial Narrow"/>
      <family val="2"/>
    </font>
    <font>
      <b/>
      <sz val="11"/>
      <color indexed="8"/>
      <name val="Arial"/>
      <family val="2"/>
    </font>
    <font>
      <sz val="8"/>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2"/>
      <color indexed="9"/>
      <name val="Calibri"/>
      <family val="2"/>
    </font>
    <font>
      <b/>
      <sz val="11"/>
      <color indexed="8"/>
      <name val="Arial Narrow"/>
      <family val="2"/>
    </font>
    <font>
      <sz val="12"/>
      <color indexed="8"/>
      <name val="Times New Roman"/>
      <family val="1"/>
    </font>
    <font>
      <sz val="11"/>
      <color indexed="10"/>
      <name val="Arial"/>
      <family val="2"/>
    </font>
    <font>
      <sz val="11"/>
      <color indexed="10"/>
      <name val="Arial Narrow"/>
      <family val="2"/>
    </font>
    <font>
      <b/>
      <sz val="11"/>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2"/>
      <color rgb="FFFFFFFF"/>
      <name val="Calibri"/>
      <family val="2"/>
    </font>
    <font>
      <b/>
      <sz val="9"/>
      <color rgb="FFFFFFFF"/>
      <name val="Arial"/>
      <family val="2"/>
    </font>
    <font>
      <sz val="11"/>
      <color rgb="FF000000"/>
      <name val="Arial Narrow"/>
      <family val="2"/>
    </font>
    <font>
      <b/>
      <sz val="11"/>
      <color rgb="FFFFFFFF"/>
      <name val="Calibri"/>
      <family val="2"/>
    </font>
    <font>
      <b/>
      <sz val="11"/>
      <color rgb="FF000000"/>
      <name val="Arial Narrow"/>
      <family val="2"/>
    </font>
    <font>
      <b/>
      <sz val="11"/>
      <color theme="1"/>
      <name val="Arial"/>
      <family val="2"/>
    </font>
    <font>
      <sz val="12"/>
      <color theme="1"/>
      <name val="Times New Roman"/>
      <family val="1"/>
    </font>
    <font>
      <sz val="11"/>
      <color rgb="FFFF0000"/>
      <name val="Arial"/>
      <family val="2"/>
    </font>
    <font>
      <sz val="11"/>
      <color rgb="FFFF0000"/>
      <name val="Arial Narrow"/>
      <family val="2"/>
    </font>
    <font>
      <b/>
      <sz val="11"/>
      <color rgb="FFFF0000"/>
      <name val="Arial"/>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4" tint="0.799979984760284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style="thick">
        <color rgb="FFFFFFFF"/>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21"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6" fillId="28"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0"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24">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3" fontId="12" fillId="33" borderId="10" xfId="0" applyNumberFormat="1" applyFont="1" applyFill="1" applyBorder="1" applyAlignment="1">
      <alignment/>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168" fontId="4" fillId="0" borderId="10" xfId="0" applyNumberFormat="1" applyFont="1" applyFill="1" applyBorder="1" applyAlignment="1">
      <alignment horizontal="center" vertical="center"/>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4" borderId="10" xfId="0" applyFont="1" applyFill="1" applyBorder="1" applyAlignment="1">
      <alignment vertical="top"/>
    </xf>
    <xf numFmtId="0" fontId="5" fillId="0" borderId="10" xfId="0" applyFont="1" applyBorder="1" applyAlignment="1">
      <alignment horizontal="left" vertical="center" wrapText="1"/>
    </xf>
    <xf numFmtId="0" fontId="5" fillId="34"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0" fillId="35" borderId="10" xfId="0" applyFill="1" applyBorder="1" applyAlignment="1">
      <alignment/>
    </xf>
    <xf numFmtId="0" fontId="14" fillId="0" borderId="0" xfId="0" applyFont="1" applyAlignment="1">
      <alignment wrapText="1"/>
    </xf>
    <xf numFmtId="9" fontId="14" fillId="0" borderId="0" xfId="56" applyFont="1" applyAlignment="1">
      <alignment wrapText="1"/>
    </xf>
    <xf numFmtId="0" fontId="11" fillId="0" borderId="0" xfId="0" applyFont="1" applyAlignment="1">
      <alignment horizontal="left"/>
    </xf>
    <xf numFmtId="0" fontId="10" fillId="0" borderId="10" xfId="0" applyFont="1" applyBorder="1" applyAlignment="1">
      <alignment horizontal="center" vertical="center" wrapText="1"/>
    </xf>
    <xf numFmtId="3" fontId="10" fillId="0" borderId="10" xfId="0" applyNumberFormat="1" applyFont="1" applyBorder="1" applyAlignment="1">
      <alignment vertical="center"/>
    </xf>
    <xf numFmtId="0" fontId="67" fillId="36" borderId="11" xfId="0" applyFont="1" applyFill="1" applyBorder="1" applyAlignment="1">
      <alignment horizontal="center" vertical="center" wrapText="1" readingOrder="1"/>
    </xf>
    <xf numFmtId="0" fontId="68" fillId="36" borderId="11" xfId="0" applyFont="1" applyFill="1" applyBorder="1" applyAlignment="1">
      <alignment horizontal="center" vertical="center" wrapText="1" readingOrder="1"/>
    </xf>
    <xf numFmtId="0" fontId="69" fillId="36" borderId="11" xfId="0" applyFont="1" applyFill="1" applyBorder="1" applyAlignment="1">
      <alignment horizontal="center" vertical="center" wrapText="1" readingOrder="1"/>
    </xf>
    <xf numFmtId="0" fontId="70" fillId="36" borderId="12" xfId="0" applyFont="1" applyFill="1" applyBorder="1" applyAlignment="1">
      <alignment horizontal="left" vertical="center" wrapText="1" readingOrder="1"/>
    </xf>
    <xf numFmtId="3" fontId="71" fillId="37" borderId="12" xfId="0" applyNumberFormat="1" applyFont="1" applyFill="1" applyBorder="1" applyAlignment="1">
      <alignment horizontal="right" vertical="center" wrapText="1" readingOrder="1"/>
    </xf>
    <xf numFmtId="0" fontId="70" fillId="36" borderId="13" xfId="0" applyFont="1" applyFill="1" applyBorder="1" applyAlignment="1">
      <alignment horizontal="left" vertical="center" wrapText="1" readingOrder="1"/>
    </xf>
    <xf numFmtId="0" fontId="71" fillId="38" borderId="13" xfId="0" applyFont="1" applyFill="1" applyBorder="1" applyAlignment="1">
      <alignment horizontal="right" vertical="center" wrapText="1" readingOrder="1"/>
    </xf>
    <xf numFmtId="3" fontId="71" fillId="38" borderId="13" xfId="0" applyNumberFormat="1" applyFont="1" applyFill="1" applyBorder="1" applyAlignment="1">
      <alignment horizontal="right" vertical="center" wrapText="1" readingOrder="1"/>
    </xf>
    <xf numFmtId="3" fontId="71" fillId="37" borderId="13" xfId="0" applyNumberFormat="1" applyFont="1" applyFill="1" applyBorder="1" applyAlignment="1">
      <alignment horizontal="right" vertical="center" wrapText="1" readingOrder="1"/>
    </xf>
    <xf numFmtId="0" fontId="72" fillId="36" borderId="13" xfId="0" applyFont="1" applyFill="1" applyBorder="1" applyAlignment="1">
      <alignment horizontal="left" vertical="center" wrapText="1" readingOrder="1"/>
    </xf>
    <xf numFmtId="3" fontId="73" fillId="37" borderId="13" xfId="0" applyNumberFormat="1" applyFont="1" applyFill="1" applyBorder="1" applyAlignment="1">
      <alignment horizontal="right" vertical="center" wrapText="1" readingOrder="1"/>
    </xf>
    <xf numFmtId="0" fontId="0" fillId="0" borderId="10" xfId="0" applyBorder="1" applyAlignment="1">
      <alignment horizontal="center" vertical="center"/>
    </xf>
    <xf numFmtId="0" fontId="67" fillId="36" borderId="14" xfId="0" applyFont="1" applyFill="1" applyBorder="1" applyAlignment="1">
      <alignment horizontal="center" vertical="center" wrapText="1" readingOrder="1"/>
    </xf>
    <xf numFmtId="0" fontId="68" fillId="36" borderId="14" xfId="0" applyFont="1" applyFill="1" applyBorder="1" applyAlignment="1">
      <alignment horizontal="center" vertical="center" wrapText="1" readingOrder="1"/>
    </xf>
    <xf numFmtId="0" fontId="72" fillId="36" borderId="15" xfId="0" applyFont="1" applyFill="1" applyBorder="1" applyAlignment="1">
      <alignment horizontal="left" vertical="center" wrapText="1" readingOrder="1"/>
    </xf>
    <xf numFmtId="3" fontId="73" fillId="37" borderId="15" xfId="0" applyNumberFormat="1" applyFont="1" applyFill="1" applyBorder="1" applyAlignment="1">
      <alignment horizontal="right" vertical="center" wrapText="1" readingOrder="1"/>
    </xf>
    <xf numFmtId="0" fontId="70" fillId="36" borderId="10" xfId="0" applyFont="1" applyFill="1" applyBorder="1" applyAlignment="1">
      <alignment horizontal="left" vertical="center" wrapText="1" readingOrder="1"/>
    </xf>
    <xf numFmtId="3" fontId="71" fillId="37" borderId="10" xfId="0" applyNumberFormat="1" applyFont="1" applyFill="1" applyBorder="1" applyAlignment="1">
      <alignment horizontal="right" vertical="center" wrapText="1" readingOrder="1"/>
    </xf>
    <xf numFmtId="0" fontId="0" fillId="0" borderId="10" xfId="0" applyBorder="1" applyAlignment="1">
      <alignment/>
    </xf>
    <xf numFmtId="3" fontId="71" fillId="38" borderId="10" xfId="0" applyNumberFormat="1" applyFont="1" applyFill="1" applyBorder="1" applyAlignment="1">
      <alignment horizontal="right" vertical="center" wrapText="1" readingOrder="1"/>
    </xf>
    <xf numFmtId="3" fontId="10" fillId="0" borderId="10" xfId="0" applyNumberFormat="1" applyFont="1" applyBorder="1" applyAlignment="1">
      <alignment horizontal="center"/>
    </xf>
    <xf numFmtId="0" fontId="0" fillId="35" borderId="10" xfId="0" applyFill="1" applyBorder="1" applyAlignment="1">
      <alignment horizontal="center"/>
    </xf>
    <xf numFmtId="0" fontId="0" fillId="39" borderId="10" xfId="0" applyFill="1" applyBorder="1" applyAlignment="1">
      <alignment horizontal="center"/>
    </xf>
    <xf numFmtId="9" fontId="4" fillId="40" borderId="10" xfId="56" applyNumberFormat="1" applyFont="1" applyFill="1" applyBorder="1" applyAlignment="1">
      <alignment horizontal="center" vertical="center"/>
    </xf>
    <xf numFmtId="0" fontId="4" fillId="40" borderId="10" xfId="0" applyFont="1" applyFill="1" applyBorder="1" applyAlignment="1">
      <alignment horizontal="center" vertical="center" wrapText="1"/>
    </xf>
    <xf numFmtId="4" fontId="74" fillId="0" borderId="0" xfId="0" applyNumberFormat="1" applyFont="1" applyAlignment="1">
      <alignment/>
    </xf>
    <xf numFmtId="4" fontId="13" fillId="0" borderId="0" xfId="0" applyNumberFormat="1" applyFont="1" applyAlignment="1">
      <alignment/>
    </xf>
    <xf numFmtId="166" fontId="13" fillId="0" borderId="0" xfId="51" applyFont="1" applyAlignment="1">
      <alignment/>
    </xf>
    <xf numFmtId="166" fontId="13" fillId="0" borderId="0" xfId="0" applyNumberFormat="1" applyFont="1" applyAlignment="1">
      <alignment/>
    </xf>
    <xf numFmtId="174" fontId="13" fillId="0" borderId="0" xfId="51" applyNumberFormat="1" applyFont="1" applyAlignment="1">
      <alignment/>
    </xf>
    <xf numFmtId="174" fontId="13" fillId="0" borderId="0" xfId="0"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2" fillId="0" borderId="0" xfId="0" applyFont="1" applyAlignment="1">
      <alignment horizontal="center"/>
    </xf>
    <xf numFmtId="172" fontId="13" fillId="0" borderId="0" xfId="0" applyNumberFormat="1" applyFont="1" applyAlignment="1">
      <alignment/>
    </xf>
    <xf numFmtId="167" fontId="13" fillId="0" borderId="0" xfId="49" applyFont="1" applyAlignment="1">
      <alignment/>
    </xf>
    <xf numFmtId="174" fontId="13" fillId="0" borderId="0" xfId="51" applyNumberFormat="1" applyFont="1" applyAlignment="1">
      <alignment horizontal="center" vertical="center"/>
    </xf>
    <xf numFmtId="174" fontId="75" fillId="0" borderId="0" xfId="51" applyNumberFormat="1" applyFont="1" applyAlignment="1">
      <alignment horizontal="center" vertical="center"/>
    </xf>
    <xf numFmtId="3" fontId="12" fillId="40" borderId="10" xfId="0" applyNumberFormat="1" applyFont="1" applyFill="1" applyBorder="1" applyAlignment="1">
      <alignment/>
    </xf>
    <xf numFmtId="0" fontId="21" fillId="0" borderId="0" xfId="0" applyFont="1" applyAlignment="1">
      <alignment/>
    </xf>
    <xf numFmtId="0" fontId="21" fillId="0" borderId="0" xfId="0" applyFont="1" applyAlignment="1">
      <alignment vertical="top" wrapText="1"/>
    </xf>
    <xf numFmtId="9" fontId="13" fillId="0" borderId="0" xfId="56" applyFont="1" applyAlignment="1">
      <alignment horizontal="center" vertical="center"/>
    </xf>
    <xf numFmtId="171" fontId="23" fillId="0" borderId="0" xfId="56" applyNumberFormat="1" applyFont="1" applyAlignment="1">
      <alignment horizontal="center" vertical="center" wrapText="1"/>
    </xf>
    <xf numFmtId="171" fontId="23" fillId="0" borderId="0" xfId="56" applyNumberFormat="1" applyFont="1" applyAlignment="1">
      <alignment horizontal="center" wrapText="1"/>
    </xf>
    <xf numFmtId="3" fontId="0" fillId="35" borderId="10" xfId="0" applyNumberFormat="1" applyFill="1" applyBorder="1" applyAlignment="1">
      <alignment/>
    </xf>
    <xf numFmtId="174" fontId="0" fillId="0" borderId="0" xfId="51" applyNumberFormat="1" applyFont="1" applyAlignment="1">
      <alignment/>
    </xf>
    <xf numFmtId="0" fontId="21" fillId="0" borderId="0" xfId="0" applyFont="1" applyAlignment="1">
      <alignment horizontal="left" vertical="top" wrapText="1"/>
    </xf>
    <xf numFmtId="174" fontId="76" fillId="0" borderId="0" xfId="51" applyNumberFormat="1" applyFont="1" applyAlignment="1">
      <alignment/>
    </xf>
    <xf numFmtId="0" fontId="77" fillId="0" borderId="0" xfId="0" applyFont="1" applyAlignment="1">
      <alignment vertical="top" wrapText="1"/>
    </xf>
    <xf numFmtId="0" fontId="76" fillId="0" borderId="10" xfId="0" applyFont="1" applyBorder="1" applyAlignment="1">
      <alignment vertical="center" wrapText="1"/>
    </xf>
    <xf numFmtId="0" fontId="0" fillId="0" borderId="0" xfId="0" applyAlignment="1">
      <alignment wrapText="1"/>
    </xf>
    <xf numFmtId="9" fontId="4" fillId="40" borderId="10" xfId="56" applyFont="1" applyFill="1" applyBorder="1" applyAlignment="1">
      <alignment horizontal="center" vertical="center"/>
    </xf>
    <xf numFmtId="9" fontId="15" fillId="40" borderId="10" xfId="56" applyFont="1" applyFill="1" applyBorder="1" applyAlignment="1">
      <alignment horizontal="center" vertical="center"/>
    </xf>
    <xf numFmtId="9" fontId="4" fillId="40" borderId="10" xfId="56" applyFont="1" applyFill="1" applyBorder="1" applyAlignment="1">
      <alignment horizontal="center" vertical="center" wrapText="1"/>
    </xf>
    <xf numFmtId="4" fontId="4" fillId="40" borderId="10" xfId="0" applyNumberFormat="1" applyFont="1" applyFill="1" applyBorder="1" applyAlignment="1">
      <alignment horizontal="center" vertical="center"/>
    </xf>
    <xf numFmtId="174" fontId="76" fillId="0" borderId="0" xfId="51" applyNumberFormat="1" applyFont="1" applyAlignment="1">
      <alignment/>
    </xf>
    <xf numFmtId="0" fontId="16" fillId="39" borderId="16" xfId="0" applyFont="1" applyFill="1" applyBorder="1" applyAlignment="1">
      <alignment horizontal="center"/>
    </xf>
    <xf numFmtId="0" fontId="16" fillId="39" borderId="17" xfId="0" applyFont="1" applyFill="1" applyBorder="1" applyAlignment="1">
      <alignment horizontal="center"/>
    </xf>
    <xf numFmtId="0" fontId="16" fillId="39" borderId="18"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174" fontId="78" fillId="0" borderId="0" xfId="0" applyNumberFormat="1" applyFont="1" applyAlignment="1">
      <alignment horizontal="left" wrapText="1"/>
    </xf>
    <xf numFmtId="0" fontId="5" fillId="34" borderId="10" xfId="0" applyFont="1" applyFill="1" applyBorder="1" applyAlignment="1">
      <alignment horizontal="center" vertical="top" wrapText="1"/>
    </xf>
    <xf numFmtId="0" fontId="5" fillId="0" borderId="10" xfId="0" applyFont="1" applyBorder="1" applyAlignment="1">
      <alignment horizontal="left" vertical="center" wrapText="1"/>
    </xf>
    <xf numFmtId="0" fontId="5" fillId="34"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11" fillId="0" borderId="19"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20" xfId="0" applyFont="1" applyFill="1" applyBorder="1" applyAlignment="1">
      <alignment horizontal="center" wrapText="1"/>
    </xf>
    <xf numFmtId="0" fontId="2" fillId="32" borderId="21" xfId="0" applyFont="1" applyFill="1" applyBorder="1" applyAlignment="1">
      <alignment horizontal="center" wrapText="1"/>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3" fontId="12" fillId="0" borderId="22" xfId="0" applyNumberFormat="1" applyFont="1" applyBorder="1" applyAlignment="1">
      <alignment horizontal="center"/>
    </xf>
    <xf numFmtId="3" fontId="12" fillId="0" borderId="23" xfId="0" applyNumberFormat="1" applyFont="1" applyBorder="1" applyAlignment="1">
      <alignment horizontal="center"/>
    </xf>
    <xf numFmtId="3" fontId="12" fillId="0" borderId="22" xfId="0" applyNumberFormat="1" applyFont="1" applyBorder="1" applyAlignment="1">
      <alignment horizontal="right"/>
    </xf>
    <xf numFmtId="3" fontId="12" fillId="0" borderId="23" xfId="0" applyNumberFormat="1" applyFont="1" applyBorder="1" applyAlignment="1">
      <alignment horizontal="righ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0</xdr:col>
      <xdr:colOff>942975</xdr:colOff>
      <xdr:row>3</xdr:row>
      <xdr:rowOff>200025</xdr:rowOff>
    </xdr:to>
    <xdr:pic>
      <xdr:nvPicPr>
        <xdr:cNvPr id="1" name="Picture 1" descr="logo nuevo contraloría"/>
        <xdr:cNvPicPr preferRelativeResize="1">
          <a:picLocks noChangeAspect="1"/>
        </xdr:cNvPicPr>
      </xdr:nvPicPr>
      <xdr:blipFill>
        <a:blip r:embed="rId1"/>
        <a:stretch>
          <a:fillRect/>
        </a:stretch>
      </xdr:blipFill>
      <xdr:spPr>
        <a:xfrm>
          <a:off x="123825" y="285750"/>
          <a:ext cx="8191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V34"/>
  <sheetViews>
    <sheetView tabSelected="1" zoomScalePageLayoutView="0" workbookViewId="0" topLeftCell="A7">
      <selection activeCell="E13" sqref="E13"/>
    </sheetView>
  </sheetViews>
  <sheetFormatPr defaultColWidth="11.421875" defaultRowHeight="15"/>
  <cols>
    <col min="1" max="1" width="50.00390625" style="21" customWidth="1"/>
    <col min="2" max="2" width="17.421875" style="21" customWidth="1"/>
    <col min="3" max="3" width="11.421875" style="21" customWidth="1"/>
    <col min="4" max="4" width="15.421875" style="21" customWidth="1"/>
    <col min="5" max="5" width="14.140625" style="21" customWidth="1"/>
    <col min="6" max="6" width="41.28125" style="21" hidden="1" customWidth="1"/>
    <col min="7" max="7" width="33.8515625" style="81" customWidth="1"/>
    <col min="8" max="8" width="17.00390625" style="21" customWidth="1"/>
    <col min="9" max="9" width="22.8515625" style="21" customWidth="1"/>
    <col min="10" max="10" width="20.8515625" style="21" bestFit="1" customWidth="1"/>
    <col min="11" max="11" width="23.00390625" style="21" customWidth="1"/>
    <col min="12" max="12" width="17.8515625" style="21" bestFit="1" customWidth="1"/>
    <col min="13" max="14" width="22.57421875" style="21" customWidth="1"/>
    <col min="15" max="15" width="18.57421875" style="21" customWidth="1"/>
    <col min="16" max="17" width="18.57421875" style="21" bestFit="1" customWidth="1"/>
    <col min="18" max="18" width="11.421875" style="21" customWidth="1"/>
    <col min="19" max="19" width="1.1484375" style="21" customWidth="1"/>
    <col min="20" max="20" width="2.421875" style="21" hidden="1" customWidth="1"/>
    <col min="21" max="21" width="11.421875" style="21" hidden="1" customWidth="1"/>
    <col min="22" max="22" width="64.7109375" style="21" customWidth="1"/>
    <col min="23" max="16384" width="11.421875" style="21" customWidth="1"/>
  </cols>
  <sheetData>
    <row r="1" spans="1:5" ht="16.5">
      <c r="A1" s="98" t="s">
        <v>38</v>
      </c>
      <c r="B1" s="99"/>
      <c r="C1" s="99"/>
      <c r="D1" s="99"/>
      <c r="E1" s="100"/>
    </row>
    <row r="2" spans="1:4" ht="15.75" customHeight="1">
      <c r="A2" s="101" t="s">
        <v>4</v>
      </c>
      <c r="B2" s="101"/>
      <c r="C2" s="101"/>
      <c r="D2" s="101"/>
    </row>
    <row r="3" spans="1:9" ht="16.5">
      <c r="A3" s="102" t="s">
        <v>7</v>
      </c>
      <c r="B3" s="102"/>
      <c r="C3" s="102"/>
      <c r="D3" s="102"/>
      <c r="I3" s="21">
        <f>3*54/100</f>
        <v>1.62</v>
      </c>
    </row>
    <row r="4" spans="1:4" ht="24" customHeight="1">
      <c r="A4" s="103" t="s">
        <v>62</v>
      </c>
      <c r="B4" s="103"/>
      <c r="C4" s="103"/>
      <c r="D4" s="103"/>
    </row>
    <row r="5" spans="1:5" ht="14.25" customHeight="1">
      <c r="A5" s="25" t="s">
        <v>25</v>
      </c>
      <c r="B5" s="105" t="s">
        <v>21</v>
      </c>
      <c r="C5" s="105"/>
      <c r="D5" s="105"/>
      <c r="E5" s="105"/>
    </row>
    <row r="6" spans="1:5" ht="24">
      <c r="A6" s="1" t="s">
        <v>31</v>
      </c>
      <c r="B6" s="1" t="s">
        <v>0</v>
      </c>
      <c r="C6" s="1" t="s">
        <v>1</v>
      </c>
      <c r="D6" s="1">
        <v>2017</v>
      </c>
      <c r="E6" s="1" t="s">
        <v>93</v>
      </c>
    </row>
    <row r="7" spans="1:8" ht="93" customHeight="1">
      <c r="A7" s="26" t="s">
        <v>78</v>
      </c>
      <c r="B7" s="20">
        <v>1</v>
      </c>
      <c r="C7" s="19">
        <v>1</v>
      </c>
      <c r="D7" s="19">
        <v>0.92</v>
      </c>
      <c r="E7" s="65">
        <v>0.59</v>
      </c>
      <c r="G7" s="90" t="s">
        <v>79</v>
      </c>
      <c r="H7" s="91" t="s">
        <v>80</v>
      </c>
    </row>
    <row r="8" spans="1:10" ht="20.25" customHeight="1">
      <c r="A8" s="25" t="s">
        <v>26</v>
      </c>
      <c r="B8" s="107" t="s">
        <v>5</v>
      </c>
      <c r="C8" s="107"/>
      <c r="D8" s="107"/>
      <c r="E8" s="107"/>
      <c r="J8" s="74"/>
    </row>
    <row r="9" spans="1:5" ht="24">
      <c r="A9" s="1" t="s">
        <v>32</v>
      </c>
      <c r="B9" s="1" t="s">
        <v>6</v>
      </c>
      <c r="C9" s="1" t="s">
        <v>1</v>
      </c>
      <c r="D9" s="1">
        <v>2017</v>
      </c>
      <c r="E9" s="1" t="str">
        <f>E6</f>
        <v>ALCANZADO A JUNIO </v>
      </c>
    </row>
    <row r="10" spans="1:8" ht="70.5" customHeight="1">
      <c r="A10" s="26" t="s">
        <v>81</v>
      </c>
      <c r="B10" s="2">
        <f>130+157+168+287</f>
        <v>742</v>
      </c>
      <c r="C10" s="3">
        <f>333+177+150+150</f>
        <v>810</v>
      </c>
      <c r="D10" s="3">
        <v>214</v>
      </c>
      <c r="E10" s="65">
        <v>0.46</v>
      </c>
      <c r="G10" s="90" t="s">
        <v>82</v>
      </c>
      <c r="H10" s="90" t="s">
        <v>83</v>
      </c>
    </row>
    <row r="11" spans="1:10" ht="24.75" customHeight="1">
      <c r="A11" s="27" t="s">
        <v>27</v>
      </c>
      <c r="B11" s="109" t="s">
        <v>22</v>
      </c>
      <c r="C11" s="109"/>
      <c r="D11" s="109"/>
      <c r="E11" s="109"/>
      <c r="J11" s="73"/>
    </row>
    <row r="12" spans="1:15" ht="27" customHeight="1">
      <c r="A12" s="1" t="s">
        <v>33</v>
      </c>
      <c r="B12" s="1" t="s">
        <v>0</v>
      </c>
      <c r="C12" s="1" t="s">
        <v>1</v>
      </c>
      <c r="D12" s="1">
        <f>D6</f>
        <v>2017</v>
      </c>
      <c r="E12" s="66" t="str">
        <f>E6</f>
        <v>ALCANZADO A JUNIO </v>
      </c>
      <c r="N12" s="75" t="s">
        <v>67</v>
      </c>
      <c r="O12" s="75" t="s">
        <v>66</v>
      </c>
    </row>
    <row r="13" spans="1:22" ht="75.75" customHeight="1">
      <c r="A13" s="26" t="s">
        <v>94</v>
      </c>
      <c r="B13" s="4">
        <v>4.34</v>
      </c>
      <c r="C13" s="4" t="s">
        <v>24</v>
      </c>
      <c r="D13" s="18">
        <v>3</v>
      </c>
      <c r="E13" s="96">
        <f>P13</f>
        <v>1.5542753003687753</v>
      </c>
      <c r="G13" s="97">
        <f>N13</f>
        <v>94152466559</v>
      </c>
      <c r="H13" s="32" t="s">
        <v>63</v>
      </c>
      <c r="I13" s="71">
        <v>79750234035</v>
      </c>
      <c r="J13" s="69" t="s">
        <v>64</v>
      </c>
      <c r="K13" s="71">
        <v>13628776539</v>
      </c>
      <c r="L13" s="21" t="s">
        <v>65</v>
      </c>
      <c r="M13" s="71">
        <v>773455985</v>
      </c>
      <c r="N13" s="89">
        <f>+I13+K13+M13</f>
        <v>94152466559</v>
      </c>
      <c r="O13" s="71">
        <v>60576441340</v>
      </c>
      <c r="P13" s="76">
        <f>+N13/O13</f>
        <v>1.5542753003687753</v>
      </c>
      <c r="Q13" s="104"/>
      <c r="R13" s="104"/>
      <c r="S13" s="104"/>
      <c r="V13" s="92"/>
    </row>
    <row r="14" spans="1:14" ht="16.5">
      <c r="A14" s="27" t="s">
        <v>28</v>
      </c>
      <c r="B14" s="107" t="s">
        <v>2</v>
      </c>
      <c r="C14" s="107"/>
      <c r="D14" s="107"/>
      <c r="E14" s="107"/>
      <c r="H14" s="67"/>
      <c r="I14" s="67"/>
      <c r="J14" s="70"/>
      <c r="L14" s="68"/>
      <c r="M14" s="68"/>
      <c r="N14" s="68"/>
    </row>
    <row r="15" spans="1:11" ht="34.5" customHeight="1">
      <c r="A15" s="1" t="s">
        <v>34</v>
      </c>
      <c r="B15" s="1" t="s">
        <v>0</v>
      </c>
      <c r="C15" s="1" t="s">
        <v>1</v>
      </c>
      <c r="D15" s="1">
        <f>D6</f>
        <v>2017</v>
      </c>
      <c r="E15" s="66" t="str">
        <f>E6</f>
        <v>ALCANZADO A JUNIO </v>
      </c>
      <c r="I15" s="84"/>
      <c r="J15" s="85"/>
      <c r="K15" s="32"/>
    </row>
    <row r="16" spans="1:22" ht="168" customHeight="1">
      <c r="A16" s="24" t="s">
        <v>86</v>
      </c>
      <c r="B16" s="2">
        <v>300</v>
      </c>
      <c r="C16" s="3">
        <v>2000</v>
      </c>
      <c r="D16" s="3" t="s">
        <v>87</v>
      </c>
      <c r="E16" s="93">
        <f>K16</f>
        <v>1.0095390028888889</v>
      </c>
      <c r="F16" s="21">
        <f>489.510134/650</f>
        <v>0.7530925138461538</v>
      </c>
      <c r="G16" s="82" t="s">
        <v>85</v>
      </c>
      <c r="I16" s="78">
        <v>13500000000</v>
      </c>
      <c r="J16" s="79">
        <v>13628776539</v>
      </c>
      <c r="K16" s="83">
        <f>+J16/I16</f>
        <v>1.0095390028888889</v>
      </c>
      <c r="V16" s="92" t="s">
        <v>84</v>
      </c>
    </row>
    <row r="17" spans="1:11" ht="16.5">
      <c r="A17" s="106" t="s">
        <v>20</v>
      </c>
      <c r="B17" s="106"/>
      <c r="C17" s="106"/>
      <c r="D17" s="106"/>
      <c r="E17" s="106"/>
      <c r="K17" s="77"/>
    </row>
    <row r="18" spans="1:9" ht="24" customHeight="1">
      <c r="A18" s="25" t="s">
        <v>29</v>
      </c>
      <c r="B18" s="105" t="s">
        <v>23</v>
      </c>
      <c r="C18" s="105"/>
      <c r="D18" s="105"/>
      <c r="E18" s="105"/>
      <c r="I18" s="72"/>
    </row>
    <row r="19" spans="1:5" ht="25.5" customHeight="1">
      <c r="A19" s="28" t="s">
        <v>35</v>
      </c>
      <c r="B19" s="1" t="s">
        <v>0</v>
      </c>
      <c r="C19" s="1" t="s">
        <v>1</v>
      </c>
      <c r="D19" s="1">
        <f>D6</f>
        <v>2017</v>
      </c>
      <c r="E19" s="66" t="str">
        <f>E6</f>
        <v>ALCANZADO A JUNIO </v>
      </c>
    </row>
    <row r="20" spans="1:7" ht="134.25" customHeight="1">
      <c r="A20" s="29" t="s">
        <v>71</v>
      </c>
      <c r="B20" s="23">
        <v>0.3</v>
      </c>
      <c r="C20" s="23">
        <v>0.8</v>
      </c>
      <c r="D20" s="23">
        <v>0.8</v>
      </c>
      <c r="E20" s="94">
        <v>0.76</v>
      </c>
      <c r="F20" s="37" t="s">
        <v>41</v>
      </c>
      <c r="G20" s="88" t="s">
        <v>90</v>
      </c>
    </row>
    <row r="21" spans="1:5" ht="16.5">
      <c r="A21" s="25" t="s">
        <v>30</v>
      </c>
      <c r="B21" s="107" t="s">
        <v>3</v>
      </c>
      <c r="C21" s="107"/>
      <c r="D21" s="107"/>
      <c r="E21" s="107"/>
    </row>
    <row r="22" spans="1:5" ht="24">
      <c r="A22" s="1" t="s">
        <v>36</v>
      </c>
      <c r="B22" s="1" t="s">
        <v>0</v>
      </c>
      <c r="C22" s="1" t="s">
        <v>1</v>
      </c>
      <c r="D22" s="1">
        <v>2017</v>
      </c>
      <c r="E22" s="1" t="str">
        <f>E6</f>
        <v>ALCANZADO A JUNIO </v>
      </c>
    </row>
    <row r="23" spans="1:7" ht="134.25" customHeight="1">
      <c r="A23" s="30" t="s">
        <v>89</v>
      </c>
      <c r="B23" s="20">
        <v>1</v>
      </c>
      <c r="C23" s="20">
        <v>1</v>
      </c>
      <c r="D23" s="20">
        <v>0.27</v>
      </c>
      <c r="E23" s="95">
        <v>1.65</v>
      </c>
      <c r="F23" s="38" t="s">
        <v>40</v>
      </c>
      <c r="G23" s="88" t="s">
        <v>88</v>
      </c>
    </row>
    <row r="24" spans="1:5" ht="16.5" customHeight="1">
      <c r="A24" s="34"/>
      <c r="B24" s="35"/>
      <c r="C24" s="35"/>
      <c r="D24" s="35"/>
      <c r="E24" s="35"/>
    </row>
    <row r="25" spans="1:4" ht="16.5">
      <c r="A25" s="108" t="s">
        <v>91</v>
      </c>
      <c r="B25" s="108"/>
      <c r="C25" s="108"/>
      <c r="D25" s="108"/>
    </row>
    <row r="26" spans="1:4" ht="16.5">
      <c r="A26" s="31" t="s">
        <v>92</v>
      </c>
      <c r="B26" s="22"/>
      <c r="C26" s="22"/>
      <c r="D26" s="22"/>
    </row>
    <row r="27" spans="1:4" ht="16.5">
      <c r="A27" s="22" t="s">
        <v>70</v>
      </c>
      <c r="B27" s="22"/>
      <c r="C27" s="22"/>
      <c r="D27" s="22"/>
    </row>
    <row r="34" ht="16.5">
      <c r="C34" s="32"/>
    </row>
  </sheetData>
  <sheetProtection/>
  <mergeCells count="13">
    <mergeCell ref="B18:E18"/>
    <mergeCell ref="A17:E17"/>
    <mergeCell ref="B21:E21"/>
    <mergeCell ref="A25:D25"/>
    <mergeCell ref="B8:E8"/>
    <mergeCell ref="B11:E11"/>
    <mergeCell ref="B14:E14"/>
    <mergeCell ref="A1:E1"/>
    <mergeCell ref="A2:D2"/>
    <mergeCell ref="A3:D3"/>
    <mergeCell ref="A4:D4"/>
    <mergeCell ref="Q13:S13"/>
    <mergeCell ref="B5:E5"/>
  </mergeCells>
  <printOptions horizontalCentered="1" verticalCentered="1"/>
  <pageMargins left="0.984251968503937" right="0.2362204724409449" top="0.7086614173228347" bottom="0.4724409448818898" header="0.31496062992125984" footer="0.31496062992125984"/>
  <pageSetup horizontalDpi="300" verticalDpi="300" orientation="landscape"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Q25"/>
  <sheetViews>
    <sheetView zoomScalePageLayoutView="0" workbookViewId="0" topLeftCell="A1">
      <selection activeCell="E18" sqref="E18"/>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9" max="9" width="17.421875" style="0" customWidth="1"/>
    <col min="10" max="10" width="14.57421875" style="0" customWidth="1"/>
    <col min="11" max="11" width="17.28125" style="0" customWidth="1"/>
    <col min="12" max="12" width="22.7109375" style="0" customWidth="1"/>
    <col min="13" max="13" width="15.421875" style="0" customWidth="1"/>
    <col min="14" max="15" width="14.8515625" style="0" customWidth="1"/>
    <col min="16" max="16" width="16.8515625" style="0" customWidth="1"/>
    <col min="17" max="17" width="15.8515625" style="0" customWidth="1"/>
  </cols>
  <sheetData>
    <row r="1" spans="1:5" ht="25.5" customHeight="1">
      <c r="A1" s="98" t="s">
        <v>38</v>
      </c>
      <c r="B1" s="99"/>
      <c r="C1" s="99"/>
      <c r="D1" s="99"/>
      <c r="E1" s="100"/>
    </row>
    <row r="2" spans="1:5" ht="15.75" customHeight="1">
      <c r="A2" s="113" t="s">
        <v>10</v>
      </c>
      <c r="B2" s="113"/>
      <c r="C2" s="113"/>
      <c r="D2" s="113"/>
      <c r="E2" s="113"/>
    </row>
    <row r="3" spans="1:5" ht="15.75" customHeight="1">
      <c r="A3" s="113" t="s">
        <v>11</v>
      </c>
      <c r="B3" s="113"/>
      <c r="C3" s="113"/>
      <c r="D3" s="113"/>
      <c r="E3" s="113"/>
    </row>
    <row r="4" spans="1:5" ht="15.75">
      <c r="A4" s="113" t="s">
        <v>61</v>
      </c>
      <c r="B4" s="113"/>
      <c r="C4" s="113"/>
      <c r="D4" s="113"/>
      <c r="E4" s="113"/>
    </row>
    <row r="6" spans="1:13" ht="15.75">
      <c r="A6" t="s">
        <v>75</v>
      </c>
      <c r="E6" t="s">
        <v>8</v>
      </c>
      <c r="L6" s="8"/>
      <c r="M6" s="15"/>
    </row>
    <row r="7" spans="1:5" ht="15">
      <c r="A7" s="114" t="s">
        <v>9</v>
      </c>
      <c r="B7" s="115" t="s">
        <v>15</v>
      </c>
      <c r="C7" s="116" t="s">
        <v>17</v>
      </c>
      <c r="D7" s="117"/>
      <c r="E7" s="118" t="s">
        <v>16</v>
      </c>
    </row>
    <row r="8" spans="1:5" ht="15">
      <c r="A8" s="114"/>
      <c r="B8" s="114"/>
      <c r="C8" s="6" t="s">
        <v>18</v>
      </c>
      <c r="D8" s="5" t="s">
        <v>19</v>
      </c>
      <c r="E8" s="119"/>
    </row>
    <row r="9" spans="1:11" ht="15.75">
      <c r="A9" s="10" t="s">
        <v>5</v>
      </c>
      <c r="B9" s="7">
        <f>B12*77%</f>
        <v>41907673626.28</v>
      </c>
      <c r="C9" s="7">
        <f>H9</f>
        <v>1411549708.625</v>
      </c>
      <c r="D9" s="7"/>
      <c r="E9" s="80">
        <f>+B9+C9+D9</f>
        <v>43319223334.905</v>
      </c>
      <c r="G9" s="86">
        <v>1613199667</v>
      </c>
      <c r="H9">
        <f>+G9*87.5%</f>
        <v>1411549708.625</v>
      </c>
      <c r="J9" s="86"/>
      <c r="K9" s="87">
        <f>+J9*87.5%</f>
        <v>0</v>
      </c>
    </row>
    <row r="10" spans="1:11" ht="31.5">
      <c r="A10" s="11" t="s">
        <v>12</v>
      </c>
      <c r="B10" s="7">
        <f>B12*11%</f>
        <v>5986810518.04</v>
      </c>
      <c r="C10" s="7">
        <f>H10</f>
        <v>201649958.375</v>
      </c>
      <c r="D10" s="7"/>
      <c r="E10" s="80">
        <f>+B10+C10</f>
        <v>6188460476.415</v>
      </c>
      <c r="H10">
        <f>+G9*12.5%</f>
        <v>201649958.375</v>
      </c>
      <c r="K10" s="87">
        <f>+J9*12.5%</f>
        <v>0</v>
      </c>
    </row>
    <row r="11" spans="1:11" ht="31.5">
      <c r="A11" s="11" t="s">
        <v>13</v>
      </c>
      <c r="B11" s="7">
        <f>B12*12%</f>
        <v>6531066019.679999</v>
      </c>
      <c r="C11" s="7">
        <v>34686860</v>
      </c>
      <c r="D11" s="7"/>
      <c r="E11" s="80">
        <f>+B11+C11</f>
        <v>6565752879.679999</v>
      </c>
      <c r="H11">
        <f>+H10+H9</f>
        <v>1613199667</v>
      </c>
      <c r="K11">
        <f>+K10+K9</f>
        <v>0</v>
      </c>
    </row>
    <row r="12" spans="1:5" ht="15.75">
      <c r="A12" s="13" t="s">
        <v>14</v>
      </c>
      <c r="B12" s="8">
        <v>54425550164</v>
      </c>
      <c r="C12" s="8">
        <f>C9+C10+C11</f>
        <v>1647886527</v>
      </c>
      <c r="D12" s="8"/>
      <c r="E12" s="8">
        <f>SUM(E9:E11)</f>
        <v>56073436691</v>
      </c>
    </row>
    <row r="13" ht="15">
      <c r="B13" s="15"/>
    </row>
    <row r="14" spans="4:6" ht="15">
      <c r="D14" s="16"/>
      <c r="E14" s="15"/>
      <c r="F14" s="17"/>
    </row>
    <row r="15" spans="1:5" ht="31.5">
      <c r="A15" s="33" t="s">
        <v>37</v>
      </c>
      <c r="B15" s="8">
        <v>7978406</v>
      </c>
      <c r="D15" s="14"/>
      <c r="E15" s="15"/>
    </row>
    <row r="16" spans="1:5" ht="15">
      <c r="A16" s="111" t="s">
        <v>76</v>
      </c>
      <c r="B16" s="111"/>
      <c r="C16" s="111"/>
      <c r="D16" s="111"/>
      <c r="E16" s="111"/>
    </row>
    <row r="17" spans="1:5" ht="15">
      <c r="A17" s="112" t="s">
        <v>77</v>
      </c>
      <c r="B17" s="112"/>
      <c r="C17" s="112"/>
      <c r="D17" s="112"/>
      <c r="E17" s="112"/>
    </row>
    <row r="18" spans="1:5" ht="15.75" thickBot="1">
      <c r="A18" s="9" t="s">
        <v>39</v>
      </c>
      <c r="B18" s="39"/>
      <c r="C18" s="39"/>
      <c r="D18" s="39"/>
      <c r="E18" s="39"/>
    </row>
    <row r="19" spans="2:16" ht="111" customHeight="1">
      <c r="B19" s="9"/>
      <c r="C19" s="9"/>
      <c r="H19" s="54" t="s">
        <v>46</v>
      </c>
      <c r="I19" s="55">
        <v>2017</v>
      </c>
      <c r="J19" t="s">
        <v>74</v>
      </c>
      <c r="K19" s="55" t="s">
        <v>68</v>
      </c>
      <c r="L19" s="55" t="s">
        <v>69</v>
      </c>
      <c r="N19" s="55" t="s">
        <v>73</v>
      </c>
      <c r="P19" s="55" t="s">
        <v>72</v>
      </c>
    </row>
    <row r="20" spans="1:16" ht="84">
      <c r="A20" s="9"/>
      <c r="B20" s="9"/>
      <c r="C20" s="9"/>
      <c r="G20" s="53">
        <v>770</v>
      </c>
      <c r="H20" s="58" t="s">
        <v>60</v>
      </c>
      <c r="I20" s="59">
        <v>1270000000</v>
      </c>
      <c r="J20" s="60">
        <v>34686860</v>
      </c>
      <c r="K20" s="59">
        <v>17400000</v>
      </c>
      <c r="L20" s="59">
        <v>1069037827</v>
      </c>
      <c r="N20" s="59">
        <v>17400000</v>
      </c>
      <c r="P20" s="59">
        <v>370618986</v>
      </c>
    </row>
    <row r="21" spans="7:17" ht="96">
      <c r="G21" s="110">
        <v>776</v>
      </c>
      <c r="H21" s="58" t="s">
        <v>57</v>
      </c>
      <c r="I21" s="59">
        <v>4184000000</v>
      </c>
      <c r="J21" s="36">
        <v>1542099667</v>
      </c>
      <c r="K21" s="59">
        <v>0</v>
      </c>
      <c r="L21" s="59">
        <v>212748246</v>
      </c>
      <c r="M21" s="15">
        <f>+L21+L22+L23</f>
        <v>3608486599</v>
      </c>
      <c r="N21" s="59">
        <v>364699667</v>
      </c>
      <c r="O21" s="15">
        <f>+N21+N22+N23</f>
        <v>378299667</v>
      </c>
      <c r="P21" s="59">
        <v>649448940</v>
      </c>
      <c r="Q21" s="15">
        <f>+P21+P22+P23</f>
        <v>1871481888</v>
      </c>
    </row>
    <row r="22" spans="7:16" ht="96">
      <c r="G22" s="110"/>
      <c r="H22" s="58" t="s">
        <v>58</v>
      </c>
      <c r="I22" s="59">
        <v>3130000000</v>
      </c>
      <c r="J22" s="36">
        <v>0</v>
      </c>
      <c r="K22" s="59">
        <v>0</v>
      </c>
      <c r="L22" s="59">
        <v>2407959700</v>
      </c>
      <c r="N22" s="59">
        <v>0</v>
      </c>
      <c r="P22" s="59">
        <v>886868743</v>
      </c>
    </row>
    <row r="23" spans="7:16" ht="132">
      <c r="G23" s="110"/>
      <c r="H23" s="58" t="s">
        <v>59</v>
      </c>
      <c r="I23" s="61">
        <v>2110000000</v>
      </c>
      <c r="J23" s="36">
        <v>71100000</v>
      </c>
      <c r="K23" s="59">
        <v>0</v>
      </c>
      <c r="L23" s="59">
        <v>987778653</v>
      </c>
      <c r="N23" s="59">
        <v>13600000</v>
      </c>
      <c r="P23" s="59">
        <v>335164205</v>
      </c>
    </row>
    <row r="24" spans="8:16" ht="17.25" thickBot="1">
      <c r="H24" s="56" t="s">
        <v>47</v>
      </c>
      <c r="I24" s="57">
        <f>SUM(I20:I23)</f>
        <v>10694000000</v>
      </c>
      <c r="J24">
        <f>J20+J21+J22+J23</f>
        <v>1647886527</v>
      </c>
      <c r="K24" s="57">
        <f>SUM(K20:K23)</f>
        <v>17400000</v>
      </c>
      <c r="L24" s="57">
        <f>SUM(L20:L23)</f>
        <v>4677524426</v>
      </c>
      <c r="N24" s="57">
        <f>SUM(N20:N23)</f>
        <v>395699667</v>
      </c>
      <c r="P24" s="57">
        <f>SUM(P20:P23)</f>
        <v>2242100874</v>
      </c>
    </row>
    <row r="25" ht="15">
      <c r="J25">
        <f>J24-J20</f>
        <v>1613199667</v>
      </c>
    </row>
  </sheetData>
  <sheetProtection/>
  <mergeCells count="11">
    <mergeCell ref="E7:E8"/>
    <mergeCell ref="G21:G23"/>
    <mergeCell ref="A16:E16"/>
    <mergeCell ref="A17:E17"/>
    <mergeCell ref="A1:E1"/>
    <mergeCell ref="A2:E2"/>
    <mergeCell ref="A3:E3"/>
    <mergeCell ref="A4:E4"/>
    <mergeCell ref="A7:A8"/>
    <mergeCell ref="B7:B8"/>
    <mergeCell ref="C7:D7"/>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4:L34"/>
  <sheetViews>
    <sheetView zoomScalePageLayoutView="0" workbookViewId="0" topLeftCell="A1">
      <selection activeCell="D45" sqref="D45"/>
    </sheetView>
  </sheetViews>
  <sheetFormatPr defaultColWidth="11.421875" defaultRowHeight="15"/>
  <cols>
    <col min="1" max="1" width="40.140625" style="0" customWidth="1"/>
    <col min="2" max="2" width="18.7109375" style="0" customWidth="1"/>
    <col min="3" max="3" width="19.57421875" style="0" customWidth="1"/>
    <col min="4" max="4" width="15.57421875" style="0" customWidth="1"/>
    <col min="5" max="5" width="19.57421875" style="0" customWidth="1"/>
    <col min="6" max="6" width="21.140625" style="0" customWidth="1"/>
    <col min="7" max="7" width="22.421875" style="0" customWidth="1"/>
    <col min="8" max="8" width="17.28125" style="0" customWidth="1"/>
    <col min="10" max="10" width="15.7109375" style="0" customWidth="1"/>
    <col min="11" max="11" width="15.8515625" style="0" customWidth="1"/>
    <col min="12" max="12" width="15.7109375" style="0" customWidth="1"/>
  </cols>
  <sheetData>
    <row r="4" spans="3:5" ht="15">
      <c r="C4" t="s">
        <v>42</v>
      </c>
      <c r="E4" t="s">
        <v>43</v>
      </c>
    </row>
    <row r="5" spans="1:7" ht="15" customHeight="1">
      <c r="A5" s="114" t="s">
        <v>9</v>
      </c>
      <c r="B5" s="115" t="s">
        <v>15</v>
      </c>
      <c r="C5" s="116" t="s">
        <v>17</v>
      </c>
      <c r="D5" s="117"/>
      <c r="E5" s="116" t="s">
        <v>17</v>
      </c>
      <c r="F5" s="117"/>
      <c r="G5" s="118" t="s">
        <v>16</v>
      </c>
    </row>
    <row r="6" spans="1:10" ht="15">
      <c r="A6" s="114"/>
      <c r="B6" s="114"/>
      <c r="C6" s="6" t="s">
        <v>18</v>
      </c>
      <c r="D6" s="5" t="s">
        <v>19</v>
      </c>
      <c r="E6" s="6" t="s">
        <v>18</v>
      </c>
      <c r="F6" s="5" t="s">
        <v>19</v>
      </c>
      <c r="G6" s="119"/>
      <c r="J6" t="s">
        <v>45</v>
      </c>
    </row>
    <row r="7" spans="1:10" ht="15.75">
      <c r="A7" s="10" t="s">
        <v>5</v>
      </c>
      <c r="B7" s="7">
        <f>B10*77/100</f>
        <v>250542600</v>
      </c>
      <c r="C7" s="122">
        <v>1112126017</v>
      </c>
      <c r="D7" s="7">
        <f>D10*77/100</f>
        <v>0</v>
      </c>
      <c r="E7" s="122">
        <v>5808873983</v>
      </c>
      <c r="F7" s="7">
        <f>F10*77/100</f>
        <v>0</v>
      </c>
      <c r="G7" s="12">
        <f>B7+C7+D7</f>
        <v>1362668617</v>
      </c>
      <c r="J7" t="s">
        <v>44</v>
      </c>
    </row>
    <row r="8" spans="1:7" ht="15.75">
      <c r="A8" s="11" t="s">
        <v>12</v>
      </c>
      <c r="B8" s="7">
        <f>B10*11/100</f>
        <v>35791800</v>
      </c>
      <c r="C8" s="123"/>
      <c r="D8" s="7">
        <f>D10*11/100</f>
        <v>0</v>
      </c>
      <c r="E8" s="123"/>
      <c r="F8" s="7">
        <f>F10*11/100</f>
        <v>0</v>
      </c>
      <c r="G8" s="12">
        <f>B8+C8+D8</f>
        <v>35791800</v>
      </c>
    </row>
    <row r="9" spans="1:7" ht="15.75">
      <c r="A9" s="11" t="s">
        <v>13</v>
      </c>
      <c r="B9" s="7">
        <f>B10*11/100</f>
        <v>35791800</v>
      </c>
      <c r="C9" s="7">
        <v>0</v>
      </c>
      <c r="D9" s="7">
        <f>D10*12/100</f>
        <v>0</v>
      </c>
      <c r="E9" s="7">
        <v>1190000000</v>
      </c>
      <c r="F9" s="7">
        <f>F10*12/100</f>
        <v>0</v>
      </c>
      <c r="G9" s="12">
        <f>B9+C9+D9</f>
        <v>35791800</v>
      </c>
    </row>
    <row r="10" spans="1:7" ht="15.75">
      <c r="A10" s="13" t="s">
        <v>14</v>
      </c>
      <c r="B10" s="8">
        <v>325380000</v>
      </c>
      <c r="C10" s="8">
        <f>SUM(C7:C9)</f>
        <v>1112126017</v>
      </c>
      <c r="D10" s="8">
        <v>0</v>
      </c>
      <c r="E10" s="8">
        <v>6998873983</v>
      </c>
      <c r="F10" s="8">
        <v>0</v>
      </c>
      <c r="G10" s="8">
        <f>C10+E10</f>
        <v>8111000000</v>
      </c>
    </row>
    <row r="12" spans="4:7" ht="15">
      <c r="D12" s="16"/>
      <c r="F12" s="16"/>
      <c r="G12" s="15"/>
    </row>
    <row r="13" spans="1:7" ht="78.75" customHeight="1">
      <c r="A13" s="40" t="s">
        <v>37</v>
      </c>
      <c r="B13" s="41">
        <v>16420510</v>
      </c>
      <c r="D13" s="14"/>
      <c r="F13" s="14"/>
      <c r="G13" s="15"/>
    </row>
    <row r="18" spans="1:7" ht="15">
      <c r="A18" s="114" t="s">
        <v>9</v>
      </c>
      <c r="B18" s="115" t="s">
        <v>15</v>
      </c>
      <c r="C18" s="116" t="s">
        <v>17</v>
      </c>
      <c r="D18" s="117"/>
      <c r="E18" s="116" t="s">
        <v>17</v>
      </c>
      <c r="F18" s="117"/>
      <c r="G18" s="118" t="s">
        <v>16</v>
      </c>
    </row>
    <row r="19" spans="1:7" ht="15">
      <c r="A19" s="114"/>
      <c r="B19" s="114"/>
      <c r="C19" s="6" t="s">
        <v>18</v>
      </c>
      <c r="D19" s="5" t="s">
        <v>19</v>
      </c>
      <c r="E19" s="6" t="s">
        <v>18</v>
      </c>
      <c r="F19" s="5" t="s">
        <v>19</v>
      </c>
      <c r="G19" s="119"/>
    </row>
    <row r="20" spans="1:7" ht="15.75">
      <c r="A20" s="10" t="s">
        <v>5</v>
      </c>
      <c r="B20" s="7">
        <f>B23*77/100</f>
        <v>250542600</v>
      </c>
      <c r="C20" s="120">
        <v>1112126017</v>
      </c>
      <c r="D20" s="7">
        <f>D23*77/100</f>
        <v>0</v>
      </c>
      <c r="E20" s="7">
        <f>E7*87.5/100</f>
        <v>5082764735.125</v>
      </c>
      <c r="F20" s="7">
        <f>F23*77/100</f>
        <v>0</v>
      </c>
      <c r="G20" s="12">
        <f>B20+C20+D20</f>
        <v>1362668617</v>
      </c>
    </row>
    <row r="21" spans="1:7" ht="15.75">
      <c r="A21" s="11" t="s">
        <v>12</v>
      </c>
      <c r="B21" s="7">
        <f>B23*11/100</f>
        <v>35791800</v>
      </c>
      <c r="C21" s="121"/>
      <c r="D21" s="7">
        <f>D23*11/100</f>
        <v>0</v>
      </c>
      <c r="E21" s="7">
        <f>E7*12.5/100</f>
        <v>726109247.875</v>
      </c>
      <c r="F21" s="7">
        <f>F23*11/100</f>
        <v>0</v>
      </c>
      <c r="G21" s="12">
        <f>B21+C21+D21</f>
        <v>35791800</v>
      </c>
    </row>
    <row r="22" spans="1:12" ht="15.75">
      <c r="A22" s="11" t="s">
        <v>13</v>
      </c>
      <c r="B22" s="7">
        <f>B23*11/100</f>
        <v>35791800</v>
      </c>
      <c r="C22" s="7">
        <v>0</v>
      </c>
      <c r="D22" s="7">
        <f>D23*12/100</f>
        <v>0</v>
      </c>
      <c r="E22" s="7">
        <v>1190000000</v>
      </c>
      <c r="F22" s="7">
        <f>F23*12/100</f>
        <v>0</v>
      </c>
      <c r="G22" s="12">
        <f>B22+C22+D22</f>
        <v>35791800</v>
      </c>
      <c r="I22" s="63" t="s">
        <v>53</v>
      </c>
      <c r="J22" s="63" t="s">
        <v>54</v>
      </c>
      <c r="K22" s="64" t="s">
        <v>55</v>
      </c>
      <c r="L22" s="64" t="s">
        <v>56</v>
      </c>
    </row>
    <row r="23" spans="1:12" ht="15.75">
      <c r="A23" s="13" t="s">
        <v>14</v>
      </c>
      <c r="B23" s="8">
        <v>325380000</v>
      </c>
      <c r="C23" s="8">
        <f>SUM(C20:C22)</f>
        <v>1112126017</v>
      </c>
      <c r="D23" s="8">
        <v>0</v>
      </c>
      <c r="E23" s="8">
        <v>6998873983</v>
      </c>
      <c r="F23" s="8">
        <v>0</v>
      </c>
      <c r="G23" s="8">
        <f>C23+E23</f>
        <v>8111000000</v>
      </c>
      <c r="I23" s="62">
        <v>1195</v>
      </c>
      <c r="J23" s="8">
        <v>729295344</v>
      </c>
      <c r="K23" s="8">
        <f>J23*87.5/100</f>
        <v>638133426</v>
      </c>
      <c r="L23" s="8">
        <f>J23*12.5/100</f>
        <v>91161918</v>
      </c>
    </row>
    <row r="24" spans="9:12" ht="15.75">
      <c r="I24" s="62">
        <v>1196</v>
      </c>
      <c r="J24" s="8">
        <v>3664000000</v>
      </c>
      <c r="K24" s="8">
        <f>J24*87.5/100</f>
        <v>3206000000</v>
      </c>
      <c r="L24" s="8">
        <f>J24*12.5/100</f>
        <v>458000000</v>
      </c>
    </row>
    <row r="25" spans="9:12" ht="15.75">
      <c r="I25" s="62">
        <v>1194</v>
      </c>
      <c r="J25" s="8">
        <v>1415578639</v>
      </c>
      <c r="K25" s="8">
        <f>J25*87.5/100</f>
        <v>1238631309.125</v>
      </c>
      <c r="L25" s="8">
        <f>J25*12.5/100</f>
        <v>176947329.875</v>
      </c>
    </row>
    <row r="26" spans="11:12" ht="15">
      <c r="K26" s="15">
        <f>SUM(K23:K25)</f>
        <v>5082764735.125</v>
      </c>
      <c r="L26" s="15">
        <f>SUM(L23:L25)</f>
        <v>726109247.875</v>
      </c>
    </row>
    <row r="28" ht="15.75" thickBot="1"/>
    <row r="29" spans="2:8" ht="30.75" thickBot="1">
      <c r="B29" s="42" t="s">
        <v>46</v>
      </c>
      <c r="C29" s="43">
        <v>2016</v>
      </c>
      <c r="D29" s="43">
        <v>2017</v>
      </c>
      <c r="E29" s="43">
        <v>2018</v>
      </c>
      <c r="F29" s="44">
        <v>2019</v>
      </c>
      <c r="G29" s="43">
        <v>2020</v>
      </c>
      <c r="H29" s="44" t="s">
        <v>47</v>
      </c>
    </row>
    <row r="30" spans="2:8" ht="49.5" thickBot="1" thickTop="1">
      <c r="B30" s="45" t="s">
        <v>48</v>
      </c>
      <c r="C30" s="46">
        <v>1190000000</v>
      </c>
      <c r="D30" s="46">
        <v>1270000000</v>
      </c>
      <c r="E30" s="46">
        <v>1357000000</v>
      </c>
      <c r="F30" s="46">
        <v>1448000000</v>
      </c>
      <c r="G30" s="46">
        <v>1547000000</v>
      </c>
      <c r="H30" s="46">
        <v>6812000000</v>
      </c>
    </row>
    <row r="31" spans="2:8" ht="72.75" thickBot="1">
      <c r="B31" s="47" t="s">
        <v>49</v>
      </c>
      <c r="C31" s="48" t="s">
        <v>50</v>
      </c>
      <c r="D31" s="49">
        <v>1184000000</v>
      </c>
      <c r="E31" s="49">
        <v>1076000000</v>
      </c>
      <c r="F31" s="49">
        <v>1122000000</v>
      </c>
      <c r="G31" s="49">
        <v>1199000000</v>
      </c>
      <c r="H31" s="49">
        <v>5310295344</v>
      </c>
    </row>
    <row r="32" spans="2:8" ht="60.75" thickBot="1">
      <c r="B32" s="47" t="s">
        <v>51</v>
      </c>
      <c r="C32" s="50">
        <v>3664000000</v>
      </c>
      <c r="D32" s="50">
        <v>3130000000</v>
      </c>
      <c r="E32" s="50">
        <v>2923000000</v>
      </c>
      <c r="F32" s="50">
        <v>2437000000</v>
      </c>
      <c r="G32" s="50">
        <v>3506000000</v>
      </c>
      <c r="H32" s="50">
        <v>15660000000</v>
      </c>
    </row>
    <row r="33" spans="2:8" ht="72.75" thickBot="1">
      <c r="B33" s="47" t="s">
        <v>52</v>
      </c>
      <c r="C33" s="49">
        <v>1415578639</v>
      </c>
      <c r="D33" s="49">
        <v>2110000000</v>
      </c>
      <c r="E33" s="49">
        <v>2476000000</v>
      </c>
      <c r="F33" s="49">
        <v>2707000000</v>
      </c>
      <c r="G33" s="49">
        <v>1426000000</v>
      </c>
      <c r="H33" s="49">
        <v>10134578639</v>
      </c>
    </row>
    <row r="34" spans="2:8" ht="17.25" thickBot="1">
      <c r="B34" s="51" t="s">
        <v>47</v>
      </c>
      <c r="C34" s="52">
        <v>6998873983</v>
      </c>
      <c r="D34" s="52">
        <v>7694000000</v>
      </c>
      <c r="E34" s="52">
        <v>7832000000</v>
      </c>
      <c r="F34" s="52">
        <v>7714000000</v>
      </c>
      <c r="G34" s="52">
        <v>7678000000</v>
      </c>
      <c r="H34" s="52">
        <v>37916873983</v>
      </c>
    </row>
  </sheetData>
  <sheetProtection/>
  <mergeCells count="13">
    <mergeCell ref="G5:G6"/>
    <mergeCell ref="E5:F5"/>
    <mergeCell ref="A18:A19"/>
    <mergeCell ref="B18:B19"/>
    <mergeCell ref="C18:D18"/>
    <mergeCell ref="E18:F18"/>
    <mergeCell ref="G18:G19"/>
    <mergeCell ref="C20:C21"/>
    <mergeCell ref="C7:C8"/>
    <mergeCell ref="E7:E8"/>
    <mergeCell ref="A5:A6"/>
    <mergeCell ref="B5:B6"/>
    <mergeCell ref="C5:D5"/>
  </mergeCells>
  <printOptions/>
  <pageMargins left="0.7086614173228347" right="0.7086614173228347" top="0.7480314960629921" bottom="0.7480314960629921" header="0.31496062992125984" footer="0.31496062992125984"/>
  <pageSetup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DANIELA MARIA HOYOS GOMEZ</cp:lastModifiedBy>
  <cp:lastPrinted>2017-07-10T19:59:20Z</cp:lastPrinted>
  <dcterms:created xsi:type="dcterms:W3CDTF">2008-08-26T19:35:11Z</dcterms:created>
  <dcterms:modified xsi:type="dcterms:W3CDTF">2017-07-10T22:16:26Z</dcterms:modified>
  <cp:category/>
  <cp:version/>
  <cp:contentType/>
  <cp:contentStatus/>
</cp:coreProperties>
</file>